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560" windowWidth="12555" windowHeight="8715" activeTab="0"/>
  </bookViews>
  <sheets>
    <sheet name="New Calculators" sheetId="1" r:id="rId1"/>
  </sheets>
  <definedNames>
    <definedName name="EV__LASTREFTIME__" hidden="1">39799.4675115741</definedName>
  </definedNames>
  <calcPr fullCalcOnLoad="1"/>
</workbook>
</file>

<file path=xl/sharedStrings.xml><?xml version="1.0" encoding="utf-8"?>
<sst xmlns="http://schemas.openxmlformats.org/spreadsheetml/2006/main" count="158" uniqueCount="60">
  <si>
    <t>Tiers</t>
  </si>
  <si>
    <t>Volume Range</t>
  </si>
  <si>
    <t>Price/1000</t>
  </si>
  <si>
    <t>Tier Max $ Charge</t>
  </si>
  <si>
    <t>Tier 1</t>
  </si>
  <si>
    <t>Tier 2</t>
  </si>
  <si>
    <t>Tier 3</t>
  </si>
  <si>
    <t>Tier 4</t>
  </si>
  <si>
    <t xml:space="preserve">Family Billing </t>
  </si>
  <si>
    <t>Savings</t>
  </si>
  <si>
    <t>Individual Volume</t>
  </si>
  <si>
    <t>Family Volume</t>
  </si>
  <si>
    <t>Total</t>
  </si>
  <si>
    <t xml:space="preserve">Under Individual Billing </t>
  </si>
  <si>
    <t>Instructions: Only enter data in yellow boxes.</t>
  </si>
  <si>
    <t>APP Fee Structure</t>
  </si>
  <si>
    <t>COM Fee Structure</t>
  </si>
  <si>
    <t>Family Pricing Calculator - Commissions (COM)</t>
  </si>
  <si>
    <t>1-999</t>
  </si>
  <si>
    <t>Tier 4/1000*25.00</t>
  </si>
  <si>
    <t>Price</t>
  </si>
  <si>
    <t>Family Pricing Calculator - Annuity Asset Pricing (AAP)</t>
  </si>
  <si>
    <t>Family Pricing Calculator - Initial Application (APP)</t>
  </si>
  <si>
    <t>Tier 4/1000*.45</t>
  </si>
  <si>
    <t>AAP Fee Structure</t>
  </si>
  <si>
    <t>Tier 4/1000*2.0</t>
  </si>
  <si>
    <t>Family Pricing Calculator - Positions and Values (POV) - PFF</t>
  </si>
  <si>
    <t>PFF Fee Structure</t>
  </si>
  <si>
    <t>Family Pricing Calculator - Financial Activity Reporting (FAR)</t>
  </si>
  <si>
    <t>PVF and PNF Fee Structure</t>
  </si>
  <si>
    <t>500,001-2,000,000</t>
  </si>
  <si>
    <t>0-500,000</t>
  </si>
  <si>
    <t>2,000,001-4,000,000</t>
  </si>
  <si>
    <t>&gt;4,000,000</t>
  </si>
  <si>
    <t>Family Pricing Calculator - Positions and Values (POV) - PVF, PNF</t>
  </si>
  <si>
    <t>1,000-9,999</t>
  </si>
  <si>
    <t>10,000-29,999</t>
  </si>
  <si>
    <t>&gt;29,999</t>
  </si>
  <si>
    <t>1-1,999</t>
  </si>
  <si>
    <t>2,000-3,499</t>
  </si>
  <si>
    <t>&gt;3,500</t>
  </si>
  <si>
    <t>1-49,999</t>
  </si>
  <si>
    <t>50,000-249,999</t>
  </si>
  <si>
    <t>250,000-999,999</t>
  </si>
  <si>
    <t>&gt;999,999</t>
  </si>
  <si>
    <t>Tier 4/1000*.50</t>
  </si>
  <si>
    <t>FAR Fee Structure</t>
  </si>
  <si>
    <t>0-100,000</t>
  </si>
  <si>
    <t>100,001-150,000</t>
  </si>
  <si>
    <t>150,001-200,000</t>
  </si>
  <si>
    <t>&gt;200,000</t>
  </si>
  <si>
    <t xml:space="preserve">Note: APP fee will be discounted based on New Business (NB) Attachments volume </t>
  </si>
  <si>
    <t>Family APP Volume</t>
  </si>
  <si>
    <t>When APP vol. is less than or equal to NB vol., APP charges will be reduced by 25 cents per APP transctn</t>
  </si>
  <si>
    <t>When APP vol. is greater than NB vol., APP charges will be reduced by 25 cents per NB Attach. transctn</t>
  </si>
  <si>
    <t>Ind. APP Volume</t>
  </si>
  <si>
    <t>Family ATT NB Volume</t>
  </si>
  <si>
    <t>Ind. ATT NB Volume</t>
  </si>
  <si>
    <t>Tier 3*.50</t>
  </si>
  <si>
    <t>Tier 4*.02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</si>
</sst>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[$-409]dddd\,\ mmmm\ dd\,\ yyyy"/>
    <numFmt numFmtId="167" formatCode="00000"/>
    <numFmt numFmtId="168" formatCode="0.0000"/>
    <numFmt numFmtId="169" formatCode="&quot;$&quot;#,##0.00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5" fontId="1" fillId="0" borderId="0" xfId="15" applyNumberFormat="1" applyFont="1" applyFill="1" applyAlignment="1">
      <alignment/>
    </xf>
    <xf numFmtId="3" fontId="0" fillId="2" borderId="3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164" fontId="0" fillId="0" borderId="0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4" xfId="0" applyNumberFormat="1" applyBorder="1" applyAlignment="1" quotePrefix="1">
      <alignment horizontal="left"/>
    </xf>
    <xf numFmtId="0" fontId="2" fillId="0" borderId="5" xfId="0" applyFont="1" applyBorder="1" applyAlignment="1">
      <alignment/>
    </xf>
    <xf numFmtId="7" fontId="0" fillId="4" borderId="5" xfId="0" applyNumberFormat="1" applyFill="1" applyBorder="1" applyAlignment="1">
      <alignment horizontal="left"/>
    </xf>
    <xf numFmtId="7" fontId="0" fillId="0" borderId="5" xfId="0" applyNumberForma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4" borderId="8" xfId="0" applyFill="1" applyBorder="1" applyAlignment="1">
      <alignment/>
    </xf>
    <xf numFmtId="7" fontId="0" fillId="4" borderId="3" xfId="0" applyNumberFormat="1" applyFill="1" applyBorder="1" applyAlignment="1">
      <alignment/>
    </xf>
    <xf numFmtId="10" fontId="0" fillId="4" borderId="3" xfId="0" applyNumberFormat="1" applyFill="1" applyBorder="1" applyAlignment="1">
      <alignment/>
    </xf>
    <xf numFmtId="0" fontId="2" fillId="4" borderId="3" xfId="0" applyFont="1" applyFill="1" applyBorder="1" applyAlignment="1">
      <alignment/>
    </xf>
    <xf numFmtId="7" fontId="0" fillId="4" borderId="9" xfId="0" applyNumberFormat="1" applyFill="1" applyBorder="1" applyAlignment="1">
      <alignment horizontal="left"/>
    </xf>
    <xf numFmtId="0" fontId="2" fillId="0" borderId="10" xfId="0" applyFont="1" applyBorder="1" applyAlignment="1">
      <alignment/>
    </xf>
    <xf numFmtId="7" fontId="0" fillId="0" borderId="11" xfId="0" applyNumberFormat="1" applyBorder="1" applyAlignment="1">
      <alignment horizontal="left"/>
    </xf>
    <xf numFmtId="7" fontId="0" fillId="4" borderId="3" xfId="0" applyNumberFormat="1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2" xfId="0" applyFill="1" applyBorder="1" applyAlignment="1">
      <alignment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0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/>
    </xf>
    <xf numFmtId="164" fontId="0" fillId="0" borderId="2" xfId="0" applyNumberFormat="1" applyFill="1" applyBorder="1" applyAlignment="1">
      <alignment horizontal="left"/>
    </xf>
    <xf numFmtId="164" fontId="0" fillId="0" borderId="4" xfId="0" applyNumberFormat="1" applyFill="1" applyBorder="1" applyAlignment="1" quotePrefix="1">
      <alignment horizontal="left"/>
    </xf>
    <xf numFmtId="0" fontId="0" fillId="3" borderId="0" xfId="0" applyFill="1" applyAlignment="1">
      <alignment/>
    </xf>
    <xf numFmtId="0" fontId="0" fillId="3" borderId="0" xfId="0" applyFill="1" applyBorder="1" applyAlignment="1" applyProtection="1">
      <alignment/>
      <protection locked="0"/>
    </xf>
    <xf numFmtId="165" fontId="1" fillId="5" borderId="0" xfId="15" applyNumberFormat="1" applyFont="1" applyFill="1" applyAlignment="1">
      <alignment/>
    </xf>
    <xf numFmtId="165" fontId="1" fillId="6" borderId="0" xfId="15" applyNumberFormat="1" applyFont="1" applyFill="1" applyAlignment="1">
      <alignment/>
    </xf>
    <xf numFmtId="17" fontId="0" fillId="0" borderId="0" xfId="0" applyNumberFormat="1" applyBorder="1" applyAlignment="1">
      <alignment/>
    </xf>
    <xf numFmtId="17" fontId="0" fillId="0" borderId="0" xfId="0" applyNumberFormat="1" applyBorder="1" applyAlignment="1" quotePrefix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 quotePrefix="1">
      <alignment horizontal="left"/>
    </xf>
    <xf numFmtId="7" fontId="0" fillId="0" borderId="0" xfId="0" applyNumberFormat="1" applyAlignment="1">
      <alignment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47"/>
  <sheetViews>
    <sheetView tabSelected="1" workbookViewId="0" topLeftCell="A1">
      <selection activeCell="AG121" sqref="AG121"/>
    </sheetView>
  </sheetViews>
  <sheetFormatPr defaultColWidth="9.140625" defaultRowHeight="12.75"/>
  <cols>
    <col min="1" max="1" width="21.8515625" style="0" customWidth="1"/>
    <col min="2" max="2" width="17.57421875" style="0" bestFit="1" customWidth="1"/>
    <col min="3" max="3" width="11.7109375" style="0" customWidth="1"/>
    <col min="4" max="4" width="16.28125" style="0" customWidth="1"/>
    <col min="5" max="6" width="11.7109375" style="0" bestFit="1" customWidth="1"/>
    <col min="7" max="7" width="14.8515625" style="0" hidden="1" customWidth="1"/>
    <col min="8" max="8" width="10.00390625" style="0" hidden="1" customWidth="1"/>
    <col min="9" max="9" width="9.7109375" style="0" hidden="1" customWidth="1"/>
    <col min="10" max="10" width="9.57421875" style="0" hidden="1" customWidth="1"/>
    <col min="11" max="11" width="9.00390625" style="0" hidden="1" customWidth="1"/>
    <col min="12" max="12" width="7.7109375" style="0" hidden="1" customWidth="1"/>
    <col min="13" max="15" width="9.00390625" style="0" hidden="1" customWidth="1"/>
    <col min="16" max="16" width="5.8515625" style="0" hidden="1" customWidth="1"/>
    <col min="17" max="31" width="0" style="0" hidden="1" customWidth="1"/>
  </cols>
  <sheetData>
    <row r="1" ht="13.5" thickBot="1"/>
    <row r="2" spans="1:6" ht="18.75" thickBot="1">
      <c r="A2" s="55" t="s">
        <v>26</v>
      </c>
      <c r="B2" s="56"/>
      <c r="C2" s="56"/>
      <c r="D2" s="56"/>
      <c r="E2" s="56"/>
      <c r="F2" s="57"/>
    </row>
    <row r="3" spans="1:6" ht="12.75">
      <c r="A3" s="29" t="s">
        <v>14</v>
      </c>
      <c r="B3" s="30"/>
      <c r="C3" s="30"/>
      <c r="D3" s="30"/>
      <c r="E3" s="30"/>
      <c r="F3" s="31"/>
    </row>
    <row r="4" spans="1:6" ht="12.75">
      <c r="A4" s="26"/>
      <c r="B4" s="27"/>
      <c r="C4" s="27"/>
      <c r="D4" s="27"/>
      <c r="E4" s="27"/>
      <c r="F4" s="28"/>
    </row>
    <row r="5" spans="1:6" ht="12.75">
      <c r="A5" s="58" t="s">
        <v>27</v>
      </c>
      <c r="B5" s="59"/>
      <c r="C5" s="59"/>
      <c r="D5" s="60"/>
      <c r="E5" s="27"/>
      <c r="F5" s="28"/>
    </row>
    <row r="6" spans="1:6" ht="12.75">
      <c r="A6" s="36" t="s">
        <v>0</v>
      </c>
      <c r="B6" s="37" t="s">
        <v>1</v>
      </c>
      <c r="C6" s="37" t="s">
        <v>2</v>
      </c>
      <c r="D6" s="38" t="s">
        <v>3</v>
      </c>
      <c r="E6" s="27"/>
      <c r="F6" s="28"/>
    </row>
    <row r="7" spans="1:6" ht="12.75">
      <c r="A7" s="36" t="s">
        <v>4</v>
      </c>
      <c r="B7" s="37" t="s">
        <v>31</v>
      </c>
      <c r="C7" s="39">
        <v>3</v>
      </c>
      <c r="D7" s="40">
        <f>SUM(500000/1000)*C7</f>
        <v>1500</v>
      </c>
      <c r="E7" s="27"/>
      <c r="F7" s="28"/>
    </row>
    <row r="8" spans="1:6" ht="12.75">
      <c r="A8" s="36" t="s">
        <v>5</v>
      </c>
      <c r="B8" s="37" t="s">
        <v>30</v>
      </c>
      <c r="C8" s="39">
        <v>1.5</v>
      </c>
      <c r="D8" s="40">
        <f>SUM(1500000/1000)*C8</f>
        <v>2250</v>
      </c>
      <c r="E8" s="27"/>
      <c r="F8" s="28"/>
    </row>
    <row r="9" spans="1:6" ht="12.75">
      <c r="A9" s="36" t="s">
        <v>6</v>
      </c>
      <c r="B9" s="37" t="s">
        <v>32</v>
      </c>
      <c r="C9" s="39">
        <v>1</v>
      </c>
      <c r="D9" s="40">
        <f>SUM(2000000/1000)*C9</f>
        <v>2000</v>
      </c>
      <c r="E9" s="27"/>
      <c r="F9" s="28"/>
    </row>
    <row r="10" spans="1:6" ht="12.75">
      <c r="A10" s="41" t="s">
        <v>7</v>
      </c>
      <c r="B10" s="42" t="s">
        <v>33</v>
      </c>
      <c r="C10" s="43">
        <v>0.5</v>
      </c>
      <c r="D10" s="44" t="s">
        <v>45</v>
      </c>
      <c r="E10" s="27"/>
      <c r="F10" s="28"/>
    </row>
    <row r="11" spans="1:6" ht="12.75">
      <c r="A11" s="26"/>
      <c r="B11" s="27"/>
      <c r="C11" s="27"/>
      <c r="D11" s="27"/>
      <c r="E11" s="27"/>
      <c r="F11" s="28"/>
    </row>
    <row r="12" spans="1:6" ht="13.5" thickBot="1">
      <c r="A12" s="26"/>
      <c r="B12" s="27"/>
      <c r="C12" s="27"/>
      <c r="D12" s="27"/>
      <c r="E12" s="27"/>
      <c r="F12" s="28"/>
    </row>
    <row r="13" spans="1:6" ht="13.5" thickBot="1">
      <c r="A13" s="32" t="s">
        <v>10</v>
      </c>
      <c r="B13" s="5"/>
      <c r="C13" s="27"/>
      <c r="D13" s="27"/>
      <c r="E13" s="27"/>
      <c r="F13" s="28"/>
    </row>
    <row r="14" spans="1:6" ht="13.5" thickBot="1">
      <c r="A14" s="26"/>
      <c r="B14" s="6"/>
      <c r="C14" s="27"/>
      <c r="D14" s="27"/>
      <c r="E14" s="27"/>
      <c r="F14" s="28"/>
    </row>
    <row r="15" spans="1:8" ht="13.5" thickBot="1">
      <c r="A15" s="32" t="s">
        <v>11</v>
      </c>
      <c r="B15" s="5"/>
      <c r="C15" s="27"/>
      <c r="D15" s="27"/>
      <c r="E15" s="27"/>
      <c r="F15" s="28"/>
      <c r="H15" t="e">
        <f>ROUND(B13/B15,7)</f>
        <v>#DIV/0!</v>
      </c>
    </row>
    <row r="16" spans="1:6" ht="12.75">
      <c r="A16" s="26"/>
      <c r="B16" s="1"/>
      <c r="C16" s="27"/>
      <c r="D16" s="27"/>
      <c r="E16" s="27"/>
      <c r="F16" s="28"/>
    </row>
    <row r="17" spans="1:6" ht="13.5" thickBot="1">
      <c r="A17" s="17"/>
      <c r="B17" s="11" t="s">
        <v>4</v>
      </c>
      <c r="C17" s="11" t="s">
        <v>5</v>
      </c>
      <c r="D17" s="11" t="s">
        <v>6</v>
      </c>
      <c r="E17" s="11" t="s">
        <v>7</v>
      </c>
      <c r="F17" s="23" t="s">
        <v>12</v>
      </c>
    </row>
    <row r="18" spans="1:15" ht="13.5" thickBot="1">
      <c r="A18" s="18" t="s">
        <v>8</v>
      </c>
      <c r="B18" s="12" t="e">
        <f>(+L18*0.003)*H15</f>
        <v>#DIV/0!</v>
      </c>
      <c r="C18" s="12" t="e">
        <f>(+M18*0.0015)*H15</f>
        <v>#DIV/0!</v>
      </c>
      <c r="D18" s="12" t="e">
        <f>(+N18*0.001)*H15</f>
        <v>#DIV/0!</v>
      </c>
      <c r="E18" s="22" t="e">
        <f>(+O18*0.0005)*H15</f>
        <v>#DIV/0!</v>
      </c>
      <c r="F18" s="25" t="e">
        <f>SUM(B18:E18)</f>
        <v>#DIV/0!</v>
      </c>
      <c r="H18" s="4">
        <f>IF(B15&lt;500001,B15,500000)</f>
        <v>0</v>
      </c>
      <c r="I18" s="4">
        <f>IF(B15&gt;2000000,1500000,B15-500000)</f>
        <v>-500000</v>
      </c>
      <c r="J18" s="4">
        <f>IF(B15&gt;4000000,2000000,B15-2000000)</f>
        <v>-2000000</v>
      </c>
      <c r="K18" s="4">
        <f>IF(B15&gt;4000000,B15-4000000,0)</f>
        <v>0</v>
      </c>
      <c r="L18" s="4">
        <f aca="true" t="shared" si="0" ref="L18:O19">IF(H18&gt;0,H18,0)</f>
        <v>0</v>
      </c>
      <c r="M18" s="4">
        <f t="shared" si="0"/>
        <v>0</v>
      </c>
      <c r="N18" s="4">
        <f t="shared" si="0"/>
        <v>0</v>
      </c>
      <c r="O18" s="4">
        <f t="shared" si="0"/>
        <v>0</v>
      </c>
    </row>
    <row r="19" spans="1:15" ht="12.75">
      <c r="A19" s="17" t="s">
        <v>13</v>
      </c>
      <c r="B19" s="13">
        <f>(+L19*0.003)</f>
        <v>0</v>
      </c>
      <c r="C19" s="13">
        <f>(+M19*0.0015)</f>
        <v>0</v>
      </c>
      <c r="D19" s="13">
        <f>(+N19*0.001)</f>
        <v>0</v>
      </c>
      <c r="E19" s="13">
        <f>(+O19*0.0005)</f>
        <v>0</v>
      </c>
      <c r="F19" s="24">
        <f>SUM(B19:E19)</f>
        <v>0</v>
      </c>
      <c r="H19" s="4">
        <f>IF(B13&lt;500001,B13,500000)</f>
        <v>0</v>
      </c>
      <c r="I19" s="4">
        <f>IF(B13&gt;2000000,1500000,B13-500000)</f>
        <v>-500000</v>
      </c>
      <c r="J19" s="4">
        <f>IF(B13&gt;4000000,2000000,B13-2000000)</f>
        <v>-2000000</v>
      </c>
      <c r="K19" s="4">
        <f>IF(B13&gt;4000000,B13-4000000,0)</f>
        <v>0</v>
      </c>
      <c r="L19" s="4">
        <f t="shared" si="0"/>
        <v>0</v>
      </c>
      <c r="M19" s="4">
        <f t="shared" si="0"/>
        <v>0</v>
      </c>
      <c r="N19" s="4">
        <f t="shared" si="0"/>
        <v>0</v>
      </c>
      <c r="O19" s="4">
        <f t="shared" si="0"/>
        <v>0</v>
      </c>
    </row>
    <row r="20" spans="1:6" ht="13.5" thickBot="1">
      <c r="A20" s="26"/>
      <c r="B20" s="27"/>
      <c r="C20" s="27"/>
      <c r="D20" s="27"/>
      <c r="E20" s="27"/>
      <c r="F20" s="28"/>
    </row>
    <row r="21" spans="1:6" ht="13.5" thickBot="1">
      <c r="A21" s="26"/>
      <c r="B21" s="27"/>
      <c r="C21" s="27"/>
      <c r="D21" s="27"/>
      <c r="E21" s="21" t="s">
        <v>9</v>
      </c>
      <c r="F21" s="19" t="e">
        <f>F19-F18</f>
        <v>#DIV/0!</v>
      </c>
    </row>
    <row r="22" spans="1:6" ht="13.5" thickBot="1">
      <c r="A22" s="26"/>
      <c r="B22" s="27"/>
      <c r="C22" s="27"/>
      <c r="D22" s="27"/>
      <c r="E22" s="27"/>
      <c r="F22" s="20" t="e">
        <f>F21/F19</f>
        <v>#DIV/0!</v>
      </c>
    </row>
    <row r="23" spans="1:6" ht="13.5" thickBot="1">
      <c r="A23" s="33"/>
      <c r="B23" s="34"/>
      <c r="C23" s="34"/>
      <c r="D23" s="34"/>
      <c r="E23" s="34"/>
      <c r="F23" s="35"/>
    </row>
    <row r="24" spans="1:6" ht="12.75">
      <c r="A24" s="45"/>
      <c r="B24" s="45"/>
      <c r="C24" s="45"/>
      <c r="D24" s="45"/>
      <c r="E24" s="45"/>
      <c r="F24" s="45"/>
    </row>
    <row r="25" ht="13.5" thickBot="1"/>
    <row r="26" spans="1:6" ht="18.75" thickBot="1">
      <c r="A26" s="55" t="s">
        <v>34</v>
      </c>
      <c r="B26" s="56"/>
      <c r="C26" s="56"/>
      <c r="D26" s="56"/>
      <c r="E26" s="56"/>
      <c r="F26" s="57"/>
    </row>
    <row r="27" spans="1:6" ht="12.75">
      <c r="A27" s="29" t="s">
        <v>14</v>
      </c>
      <c r="B27" s="30"/>
      <c r="C27" s="30"/>
      <c r="D27" s="30"/>
      <c r="E27" s="30"/>
      <c r="F27" s="31"/>
    </row>
    <row r="28" spans="1:6" ht="12.75">
      <c r="A28" s="26"/>
      <c r="B28" s="27"/>
      <c r="C28" s="27"/>
      <c r="D28" s="27"/>
      <c r="E28" s="27"/>
      <c r="F28" s="28"/>
    </row>
    <row r="29" spans="1:6" ht="12.75">
      <c r="A29" s="58" t="s">
        <v>29</v>
      </c>
      <c r="B29" s="59"/>
      <c r="C29" s="59"/>
      <c r="D29" s="60"/>
      <c r="E29" s="27"/>
      <c r="F29" s="28"/>
    </row>
    <row r="30" spans="1:6" ht="12.75">
      <c r="A30" s="36" t="s">
        <v>0</v>
      </c>
      <c r="B30" s="37" t="s">
        <v>1</v>
      </c>
      <c r="C30" s="37" t="s">
        <v>2</v>
      </c>
      <c r="D30" s="38" t="s">
        <v>3</v>
      </c>
      <c r="E30" s="27"/>
      <c r="F30" s="28"/>
    </row>
    <row r="31" spans="1:6" ht="12.75">
      <c r="A31" s="36" t="s">
        <v>4</v>
      </c>
      <c r="B31" s="37" t="s">
        <v>31</v>
      </c>
      <c r="C31" s="39">
        <v>8</v>
      </c>
      <c r="D31" s="40">
        <f>SUM(500000/1000)*C31</f>
        <v>4000</v>
      </c>
      <c r="E31" s="27"/>
      <c r="F31" s="28"/>
    </row>
    <row r="32" spans="1:6" ht="12.75">
      <c r="A32" s="36" t="s">
        <v>5</v>
      </c>
      <c r="B32" s="37" t="s">
        <v>30</v>
      </c>
      <c r="C32" s="39">
        <v>4</v>
      </c>
      <c r="D32" s="40">
        <f>SUM(1500000/1000)*C32</f>
        <v>6000</v>
      </c>
      <c r="E32" s="27"/>
      <c r="F32" s="28"/>
    </row>
    <row r="33" spans="1:6" ht="12.75">
      <c r="A33" s="36" t="s">
        <v>6</v>
      </c>
      <c r="B33" s="37" t="s">
        <v>32</v>
      </c>
      <c r="C33" s="39">
        <v>3</v>
      </c>
      <c r="D33" s="40">
        <f>SUM(2000000/1000)*C33</f>
        <v>6000</v>
      </c>
      <c r="E33" s="27"/>
      <c r="F33" s="28"/>
    </row>
    <row r="34" spans="1:6" ht="12.75">
      <c r="A34" s="41" t="s">
        <v>7</v>
      </c>
      <c r="B34" s="42" t="s">
        <v>33</v>
      </c>
      <c r="C34" s="43">
        <v>2</v>
      </c>
      <c r="D34" s="44" t="s">
        <v>25</v>
      </c>
      <c r="E34" s="27"/>
      <c r="F34" s="28"/>
    </row>
    <row r="35" spans="1:6" ht="12.75">
      <c r="A35" s="26"/>
      <c r="B35" s="27"/>
      <c r="C35" s="27"/>
      <c r="D35" s="27"/>
      <c r="E35" s="27"/>
      <c r="F35" s="28"/>
    </row>
    <row r="36" spans="1:6" ht="13.5" thickBot="1">
      <c r="A36" s="26"/>
      <c r="B36" s="27"/>
      <c r="C36" s="27"/>
      <c r="D36" s="27"/>
      <c r="E36" s="27"/>
      <c r="F36" s="28"/>
    </row>
    <row r="37" spans="1:6" ht="13.5" thickBot="1">
      <c r="A37" s="32" t="s">
        <v>10</v>
      </c>
      <c r="B37" s="5"/>
      <c r="C37" s="27"/>
      <c r="D37" s="27"/>
      <c r="E37" s="27"/>
      <c r="F37" s="28"/>
    </row>
    <row r="38" spans="1:6" ht="13.5" thickBot="1">
      <c r="A38" s="26"/>
      <c r="B38" s="6"/>
      <c r="C38" s="27"/>
      <c r="D38" s="27"/>
      <c r="E38" s="27"/>
      <c r="F38" s="28"/>
    </row>
    <row r="39" spans="1:8" ht="13.5" thickBot="1">
      <c r="A39" s="32" t="s">
        <v>11</v>
      </c>
      <c r="B39" s="5"/>
      <c r="C39" s="27"/>
      <c r="D39" s="27"/>
      <c r="E39" s="27"/>
      <c r="F39" s="28"/>
      <c r="H39" t="e">
        <f>ROUND(B37/B39,7)</f>
        <v>#DIV/0!</v>
      </c>
    </row>
    <row r="40" spans="1:6" ht="12.75">
      <c r="A40" s="26"/>
      <c r="B40" s="1"/>
      <c r="C40" s="27"/>
      <c r="D40" s="27"/>
      <c r="E40" s="27"/>
      <c r="F40" s="28"/>
    </row>
    <row r="41" spans="1:6" ht="13.5" thickBot="1">
      <c r="A41" s="17"/>
      <c r="B41" s="11" t="s">
        <v>4</v>
      </c>
      <c r="C41" s="11" t="s">
        <v>5</v>
      </c>
      <c r="D41" s="11" t="s">
        <v>6</v>
      </c>
      <c r="E41" s="11" t="s">
        <v>7</v>
      </c>
      <c r="F41" s="23" t="s">
        <v>12</v>
      </c>
    </row>
    <row r="42" spans="1:15" ht="13.5" thickBot="1">
      <c r="A42" s="18" t="s">
        <v>8</v>
      </c>
      <c r="B42" s="12" t="e">
        <f>(+L42*0.008)*H39</f>
        <v>#DIV/0!</v>
      </c>
      <c r="C42" s="12" t="e">
        <f>(+M42*0.004)*H39</f>
        <v>#DIV/0!</v>
      </c>
      <c r="D42" s="12" t="e">
        <f>(+N42*0.003)*H39</f>
        <v>#DIV/0!</v>
      </c>
      <c r="E42" s="22" t="e">
        <f>(+O42*0.002)*H39</f>
        <v>#DIV/0!</v>
      </c>
      <c r="F42" s="25" t="e">
        <f>SUM(B42:E42)</f>
        <v>#DIV/0!</v>
      </c>
      <c r="H42" s="4">
        <f>IF(B39&lt;500001,B39,500000)</f>
        <v>0</v>
      </c>
      <c r="I42" s="4">
        <f>IF(B39&gt;2000000,1500000,B39-500000)</f>
        <v>-500000</v>
      </c>
      <c r="J42" s="4">
        <f>IF(B39&gt;4000000,2000000,B39-2000000)</f>
        <v>-2000000</v>
      </c>
      <c r="K42" s="4">
        <f>IF(B39&gt;4000000,B39-4000000,0)</f>
        <v>0</v>
      </c>
      <c r="L42" s="4">
        <f aca="true" t="shared" si="1" ref="L42:O43">IF(H42&gt;0,H42,0)</f>
        <v>0</v>
      </c>
      <c r="M42" s="4">
        <f t="shared" si="1"/>
        <v>0</v>
      </c>
      <c r="N42" s="4">
        <f t="shared" si="1"/>
        <v>0</v>
      </c>
      <c r="O42" s="4">
        <f t="shared" si="1"/>
        <v>0</v>
      </c>
    </row>
    <row r="43" spans="1:15" ht="12.75">
      <c r="A43" s="17" t="s">
        <v>13</v>
      </c>
      <c r="B43" s="13">
        <f>(+L43*0.008)</f>
        <v>0</v>
      </c>
      <c r="C43" s="13">
        <f>(+M43*0.004)</f>
        <v>0</v>
      </c>
      <c r="D43" s="13">
        <f>(+N43*0.003)</f>
        <v>0</v>
      </c>
      <c r="E43" s="13">
        <f>(+O43*0.002)</f>
        <v>0</v>
      </c>
      <c r="F43" s="24">
        <f>SUM(B43:E43)</f>
        <v>0</v>
      </c>
      <c r="H43" s="4">
        <f>IF(B37&lt;500001,B37,500000)</f>
        <v>0</v>
      </c>
      <c r="I43" s="4">
        <f>IF(B37&gt;2000000,1500000,B37-500000)</f>
        <v>-500000</v>
      </c>
      <c r="J43" s="4">
        <f>IF(B37&gt;4000001,2000000,B37-2000000)</f>
        <v>-2000000</v>
      </c>
      <c r="K43" s="4">
        <f>IF(B37&gt;4000000,B37-4000000,0)</f>
        <v>0</v>
      </c>
      <c r="L43" s="4">
        <f t="shared" si="1"/>
        <v>0</v>
      </c>
      <c r="M43" s="4">
        <f t="shared" si="1"/>
        <v>0</v>
      </c>
      <c r="N43" s="4">
        <f t="shared" si="1"/>
        <v>0</v>
      </c>
      <c r="O43" s="4">
        <f t="shared" si="1"/>
        <v>0</v>
      </c>
    </row>
    <row r="44" spans="1:6" ht="13.5" thickBot="1">
      <c r="A44" s="26"/>
      <c r="B44" s="27"/>
      <c r="C44" s="27"/>
      <c r="D44" s="27"/>
      <c r="E44" s="27"/>
      <c r="F44" s="28"/>
    </row>
    <row r="45" spans="1:6" ht="13.5" thickBot="1">
      <c r="A45" s="26"/>
      <c r="B45" s="27"/>
      <c r="C45" s="27"/>
      <c r="D45" s="27"/>
      <c r="E45" s="21" t="s">
        <v>9</v>
      </c>
      <c r="F45" s="19" t="e">
        <f>F43-F42</f>
        <v>#DIV/0!</v>
      </c>
    </row>
    <row r="46" spans="1:6" ht="13.5" thickBot="1">
      <c r="A46" s="26"/>
      <c r="B46" s="27"/>
      <c r="C46" s="27"/>
      <c r="D46" s="27"/>
      <c r="E46" s="27"/>
      <c r="F46" s="20" t="e">
        <f>F45/F43</f>
        <v>#DIV/0!</v>
      </c>
    </row>
    <row r="47" spans="1:6" ht="13.5" thickBot="1">
      <c r="A47" s="33"/>
      <c r="B47" s="34"/>
      <c r="C47" s="34"/>
      <c r="D47" s="34"/>
      <c r="E47" s="34"/>
      <c r="F47" s="35"/>
    </row>
    <row r="48" spans="1:6" ht="12.75">
      <c r="A48" s="45"/>
      <c r="B48" s="45"/>
      <c r="C48" s="45"/>
      <c r="D48" s="45"/>
      <c r="E48" s="45"/>
      <c r="F48" s="45"/>
    </row>
    <row r="49" ht="13.5" thickBot="1"/>
    <row r="50" spans="1:6" ht="18.75" thickBot="1">
      <c r="A50" s="55" t="s">
        <v>28</v>
      </c>
      <c r="B50" s="56"/>
      <c r="C50" s="56"/>
      <c r="D50" s="56"/>
      <c r="E50" s="56"/>
      <c r="F50" s="57"/>
    </row>
    <row r="51" spans="1:6" ht="12.75">
      <c r="A51" s="29" t="s">
        <v>14</v>
      </c>
      <c r="B51" s="30"/>
      <c r="C51" s="30"/>
      <c r="D51" s="30"/>
      <c r="E51" s="30"/>
      <c r="F51" s="31"/>
    </row>
    <row r="52" spans="1:6" ht="12.75">
      <c r="A52" s="26"/>
      <c r="B52" s="27"/>
      <c r="C52" s="27"/>
      <c r="D52" s="27"/>
      <c r="E52" s="27"/>
      <c r="F52" s="28"/>
    </row>
    <row r="53" spans="1:6" ht="12.75">
      <c r="A53" s="58" t="s">
        <v>46</v>
      </c>
      <c r="B53" s="59"/>
      <c r="C53" s="59"/>
      <c r="D53" s="60"/>
      <c r="E53" s="27"/>
      <c r="F53" s="28"/>
    </row>
    <row r="54" spans="1:6" ht="12.75">
      <c r="A54" s="36" t="s">
        <v>0</v>
      </c>
      <c r="B54" s="37" t="s">
        <v>1</v>
      </c>
      <c r="C54" s="37" t="s">
        <v>20</v>
      </c>
      <c r="D54" s="38" t="s">
        <v>3</v>
      </c>
      <c r="E54" s="27"/>
      <c r="F54" s="28"/>
    </row>
    <row r="55" spans="1:6" ht="12.75">
      <c r="A55" s="36" t="s">
        <v>4</v>
      </c>
      <c r="B55" s="37" t="s">
        <v>47</v>
      </c>
      <c r="C55" s="39">
        <v>0.05</v>
      </c>
      <c r="D55" s="40">
        <f>SUM(100000*C55)</f>
        <v>5000</v>
      </c>
      <c r="E55" s="27"/>
      <c r="F55" s="28"/>
    </row>
    <row r="56" spans="1:6" ht="12.75">
      <c r="A56" s="36" t="s">
        <v>5</v>
      </c>
      <c r="B56" s="37" t="s">
        <v>48</v>
      </c>
      <c r="C56" s="39">
        <v>0.04</v>
      </c>
      <c r="D56" s="40">
        <f>SUM(50000*C56)</f>
        <v>2000</v>
      </c>
      <c r="E56" s="27"/>
      <c r="F56" s="28"/>
    </row>
    <row r="57" spans="1:6" ht="12.75">
      <c r="A57" s="36" t="s">
        <v>6</v>
      </c>
      <c r="B57" s="37" t="s">
        <v>49</v>
      </c>
      <c r="C57" s="39">
        <v>0.03</v>
      </c>
      <c r="D57" s="40">
        <f>SUM(50000*C57)</f>
        <v>1500</v>
      </c>
      <c r="E57" s="27"/>
      <c r="F57" s="28"/>
    </row>
    <row r="58" spans="1:6" ht="12.75">
      <c r="A58" s="41" t="s">
        <v>7</v>
      </c>
      <c r="B58" s="42" t="s">
        <v>50</v>
      </c>
      <c r="C58" s="43">
        <v>0.02</v>
      </c>
      <c r="D58" s="44" t="s">
        <v>59</v>
      </c>
      <c r="E58" s="27"/>
      <c r="F58" s="28"/>
    </row>
    <row r="59" spans="1:6" ht="12.75">
      <c r="A59" s="26"/>
      <c r="B59" s="27"/>
      <c r="C59" s="27"/>
      <c r="D59" s="27"/>
      <c r="E59" s="27"/>
      <c r="F59" s="28"/>
    </row>
    <row r="60" spans="1:6" ht="13.5" thickBot="1">
      <c r="A60" s="26"/>
      <c r="B60" s="27"/>
      <c r="C60" s="27"/>
      <c r="D60" s="27"/>
      <c r="E60" s="27"/>
      <c r="F60" s="28"/>
    </row>
    <row r="61" spans="1:6" ht="13.5" thickBot="1">
      <c r="A61" s="32" t="s">
        <v>10</v>
      </c>
      <c r="B61" s="5"/>
      <c r="C61" s="27"/>
      <c r="D61" s="27"/>
      <c r="E61" s="27"/>
      <c r="F61" s="28"/>
    </row>
    <row r="62" spans="1:6" ht="13.5" thickBot="1">
      <c r="A62" s="26"/>
      <c r="B62" s="6"/>
      <c r="C62" s="27"/>
      <c r="D62" s="27"/>
      <c r="E62" s="27"/>
      <c r="F62" s="28"/>
    </row>
    <row r="63" spans="1:8" ht="13.5" thickBot="1">
      <c r="A63" s="32" t="s">
        <v>11</v>
      </c>
      <c r="B63" s="5"/>
      <c r="C63" s="27"/>
      <c r="D63" s="27"/>
      <c r="E63" s="27"/>
      <c r="F63" s="28"/>
      <c r="H63" t="e">
        <f>ROUND(B61/B63,7)</f>
        <v>#DIV/0!</v>
      </c>
    </row>
    <row r="64" spans="1:6" ht="12.75">
      <c r="A64" s="26"/>
      <c r="B64" s="1"/>
      <c r="C64" s="27"/>
      <c r="D64" s="27"/>
      <c r="E64" s="27"/>
      <c r="F64" s="28"/>
    </row>
    <row r="65" spans="1:6" ht="13.5" thickBot="1">
      <c r="A65" s="17"/>
      <c r="B65" s="11" t="s">
        <v>4</v>
      </c>
      <c r="C65" s="11" t="s">
        <v>5</v>
      </c>
      <c r="D65" s="11" t="s">
        <v>6</v>
      </c>
      <c r="E65" s="11" t="s">
        <v>7</v>
      </c>
      <c r="F65" s="23" t="s">
        <v>12</v>
      </c>
    </row>
    <row r="66" spans="1:15" ht="13.5" thickBot="1">
      <c r="A66" s="18" t="s">
        <v>8</v>
      </c>
      <c r="B66" s="12" t="e">
        <f>(+L66*0.05)*H63</f>
        <v>#DIV/0!</v>
      </c>
      <c r="C66" s="12" t="e">
        <f>(+M66*0.04)*H63</f>
        <v>#DIV/0!</v>
      </c>
      <c r="D66" s="12" t="e">
        <f>(+N66*0.03)*H63</f>
        <v>#DIV/0!</v>
      </c>
      <c r="E66" s="22" t="e">
        <f>(+O66*0.02)*H63</f>
        <v>#DIV/0!</v>
      </c>
      <c r="F66" s="25" t="e">
        <f>SUM(B66:E66)</f>
        <v>#DIV/0!</v>
      </c>
      <c r="H66" s="4">
        <f>IF(B63&lt;100001,B63,100000)</f>
        <v>0</v>
      </c>
      <c r="I66" s="4">
        <f>IF(B63&gt;150000,50000,B63-100000)</f>
        <v>-100000</v>
      </c>
      <c r="J66" s="4">
        <f>IF(B63&gt;200000,50000,B63-150000)</f>
        <v>-150000</v>
      </c>
      <c r="K66" s="4">
        <f>IF(B63&gt;200000,B63-200000,0)</f>
        <v>0</v>
      </c>
      <c r="L66" s="4">
        <f aca="true" t="shared" si="2" ref="L66:O67">IF(H66&gt;0,H66,0)</f>
        <v>0</v>
      </c>
      <c r="M66" s="4">
        <f t="shared" si="2"/>
        <v>0</v>
      </c>
      <c r="N66" s="4">
        <f t="shared" si="2"/>
        <v>0</v>
      </c>
      <c r="O66" s="4">
        <f t="shared" si="2"/>
        <v>0</v>
      </c>
    </row>
    <row r="67" spans="1:15" ht="12.75">
      <c r="A67" s="17" t="s">
        <v>13</v>
      </c>
      <c r="B67" s="13">
        <f>(+L67*0.05)</f>
        <v>0</v>
      </c>
      <c r="C67" s="13">
        <f>(+M67*0.04)</f>
        <v>0</v>
      </c>
      <c r="D67" s="13">
        <f>(+N67*0.03)</f>
        <v>0</v>
      </c>
      <c r="E67" s="13">
        <f>(+O67*0.02)</f>
        <v>0</v>
      </c>
      <c r="F67" s="24">
        <f>SUM(B67:E67)</f>
        <v>0</v>
      </c>
      <c r="H67" s="4">
        <f>IF(B61&lt;100001,B61,100000)</f>
        <v>0</v>
      </c>
      <c r="I67" s="4">
        <f>IF(B61&gt;150000,50000,B61-100000)</f>
        <v>-100000</v>
      </c>
      <c r="J67" s="4">
        <f>IF(B61&gt;200000,50000,B61-150000)</f>
        <v>-150000</v>
      </c>
      <c r="K67" s="4">
        <f>IF(B61&gt;200000,B61-200000,0)</f>
        <v>0</v>
      </c>
      <c r="L67" s="4">
        <f t="shared" si="2"/>
        <v>0</v>
      </c>
      <c r="M67" s="4">
        <f t="shared" si="2"/>
        <v>0</v>
      </c>
      <c r="N67" s="4">
        <f t="shared" si="2"/>
        <v>0</v>
      </c>
      <c r="O67" s="4">
        <f t="shared" si="2"/>
        <v>0</v>
      </c>
    </row>
    <row r="68" spans="1:6" ht="13.5" thickBot="1">
      <c r="A68" s="26"/>
      <c r="B68" s="27"/>
      <c r="C68" s="27"/>
      <c r="D68" s="27"/>
      <c r="E68" s="27"/>
      <c r="F68" s="28"/>
    </row>
    <row r="69" spans="1:6" ht="13.5" thickBot="1">
      <c r="A69" s="26"/>
      <c r="B69" s="27"/>
      <c r="C69" s="27"/>
      <c r="D69" s="27"/>
      <c r="E69" s="21" t="s">
        <v>9</v>
      </c>
      <c r="F69" s="19" t="e">
        <f>F67-F66</f>
        <v>#DIV/0!</v>
      </c>
    </row>
    <row r="70" spans="1:6" ht="13.5" thickBot="1">
      <c r="A70" s="26"/>
      <c r="B70" s="27"/>
      <c r="C70" s="27"/>
      <c r="D70" s="27"/>
      <c r="E70" s="27"/>
      <c r="F70" s="20" t="e">
        <f>F69/F67</f>
        <v>#DIV/0!</v>
      </c>
    </row>
    <row r="71" spans="1:6" ht="13.5" thickBot="1">
      <c r="A71" s="33"/>
      <c r="B71" s="34"/>
      <c r="C71" s="34"/>
      <c r="D71" s="34"/>
      <c r="E71" s="34"/>
      <c r="F71" s="35"/>
    </row>
    <row r="72" spans="1:6" ht="12.75">
      <c r="A72" s="45"/>
      <c r="B72" s="45"/>
      <c r="C72" s="45"/>
      <c r="D72" s="45"/>
      <c r="E72" s="45"/>
      <c r="F72" s="45"/>
    </row>
    <row r="73" spans="1:6" ht="13.5" thickBot="1">
      <c r="A73" s="45"/>
      <c r="B73" s="45"/>
      <c r="C73" s="45"/>
      <c r="D73" s="45"/>
      <c r="E73" s="45"/>
      <c r="F73" s="45"/>
    </row>
    <row r="74" spans="1:6" ht="18.75" thickBot="1">
      <c r="A74" s="55" t="s">
        <v>17</v>
      </c>
      <c r="B74" s="56"/>
      <c r="C74" s="56"/>
      <c r="D74" s="56"/>
      <c r="E74" s="56"/>
      <c r="F74" s="57"/>
    </row>
    <row r="75" spans="1:6" ht="12.75">
      <c r="A75" s="29" t="s">
        <v>14</v>
      </c>
      <c r="B75" s="30"/>
      <c r="C75" s="30"/>
      <c r="D75" s="30"/>
      <c r="E75" s="30"/>
      <c r="F75" s="31"/>
    </row>
    <row r="76" spans="1:6" ht="12.75">
      <c r="A76" s="26"/>
      <c r="B76" s="27"/>
      <c r="C76" s="27"/>
      <c r="D76" s="27"/>
      <c r="E76" s="27"/>
      <c r="F76" s="28"/>
    </row>
    <row r="77" spans="1:6" ht="12.75">
      <c r="A77" s="58" t="s">
        <v>16</v>
      </c>
      <c r="B77" s="59"/>
      <c r="C77" s="59"/>
      <c r="D77" s="60"/>
      <c r="E77" s="27"/>
      <c r="F77" s="28"/>
    </row>
    <row r="78" spans="1:6" ht="12.75">
      <c r="A78" s="14" t="s">
        <v>0</v>
      </c>
      <c r="B78" s="1" t="s">
        <v>1</v>
      </c>
      <c r="C78" s="1" t="s">
        <v>2</v>
      </c>
      <c r="D78" s="2" t="s">
        <v>3</v>
      </c>
      <c r="E78" s="27"/>
      <c r="F78" s="28"/>
    </row>
    <row r="79" spans="1:7" ht="12.75">
      <c r="A79" s="14" t="s">
        <v>4</v>
      </c>
      <c r="B79" s="1" t="s">
        <v>18</v>
      </c>
      <c r="C79" s="7">
        <v>40</v>
      </c>
      <c r="D79" s="9">
        <f>SUM(999/1000)*C79</f>
        <v>39.96</v>
      </c>
      <c r="E79" s="27"/>
      <c r="F79" s="28"/>
      <c r="G79" s="9"/>
    </row>
    <row r="80" spans="1:7" ht="12.75">
      <c r="A80" s="14" t="s">
        <v>5</v>
      </c>
      <c r="B80" s="1" t="s">
        <v>35</v>
      </c>
      <c r="C80" s="7">
        <v>35</v>
      </c>
      <c r="D80" s="9">
        <f>SUM(9000/1000)*C80</f>
        <v>315</v>
      </c>
      <c r="E80" s="27"/>
      <c r="F80" s="28"/>
      <c r="G80" s="9"/>
    </row>
    <row r="81" spans="1:7" ht="12.75">
      <c r="A81" s="14" t="s">
        <v>6</v>
      </c>
      <c r="B81" s="1" t="s">
        <v>36</v>
      </c>
      <c r="C81" s="7">
        <v>30</v>
      </c>
      <c r="D81" s="9">
        <f>SUM(20000/1000)*C81</f>
        <v>600</v>
      </c>
      <c r="E81" s="27"/>
      <c r="F81" s="28"/>
      <c r="G81" s="9"/>
    </row>
    <row r="82" spans="1:6" ht="12.75">
      <c r="A82" s="15" t="s">
        <v>7</v>
      </c>
      <c r="B82" s="3" t="s">
        <v>37</v>
      </c>
      <c r="C82" s="8">
        <v>25</v>
      </c>
      <c r="D82" s="10" t="s">
        <v>19</v>
      </c>
      <c r="E82" s="27"/>
      <c r="F82" s="28"/>
    </row>
    <row r="83" spans="1:6" ht="12.75">
      <c r="A83" s="26"/>
      <c r="B83" s="27"/>
      <c r="C83" s="27"/>
      <c r="D83" s="46"/>
      <c r="E83" s="27"/>
      <c r="F83" s="28"/>
    </row>
    <row r="84" spans="1:6" ht="13.5" thickBot="1">
      <c r="A84" s="26"/>
      <c r="B84" s="27"/>
      <c r="C84" s="27"/>
      <c r="D84" s="27"/>
      <c r="E84" s="27"/>
      <c r="F84" s="28"/>
    </row>
    <row r="85" spans="1:6" ht="13.5" thickBot="1">
      <c r="A85" s="16" t="s">
        <v>10</v>
      </c>
      <c r="B85" s="5"/>
      <c r="C85" s="27"/>
      <c r="D85" s="27"/>
      <c r="E85" s="27"/>
      <c r="F85" s="28"/>
    </row>
    <row r="86" spans="1:6" ht="13.5" thickBot="1">
      <c r="A86" s="26"/>
      <c r="B86" s="6"/>
      <c r="C86" s="27"/>
      <c r="D86" s="27"/>
      <c r="E86" s="27"/>
      <c r="F86" s="28"/>
    </row>
    <row r="87" spans="1:8" ht="13.5" thickBot="1">
      <c r="A87" s="16" t="s">
        <v>11</v>
      </c>
      <c r="B87" s="5"/>
      <c r="C87" s="27"/>
      <c r="D87" s="27"/>
      <c r="E87" s="27"/>
      <c r="F87" s="28"/>
      <c r="H87" t="e">
        <f>ROUND(B85/B87,7)</f>
        <v>#DIV/0!</v>
      </c>
    </row>
    <row r="88" spans="1:6" ht="12.75">
      <c r="A88" s="26"/>
      <c r="B88" s="1"/>
      <c r="C88" s="27"/>
      <c r="D88" s="27"/>
      <c r="E88" s="27"/>
      <c r="F88" s="28"/>
    </row>
    <row r="89" spans="1:6" ht="13.5" thickBot="1">
      <c r="A89" s="17"/>
      <c r="B89" s="11" t="s">
        <v>4</v>
      </c>
      <c r="C89" s="11" t="s">
        <v>5</v>
      </c>
      <c r="D89" s="11" t="s">
        <v>6</v>
      </c>
      <c r="E89" s="11" t="s">
        <v>7</v>
      </c>
      <c r="F89" s="23" t="s">
        <v>12</v>
      </c>
    </row>
    <row r="90" spans="1:15" ht="13.5" thickBot="1">
      <c r="A90" s="18" t="s">
        <v>8</v>
      </c>
      <c r="B90" s="12" t="e">
        <f>(+L90*0.04)*H87</f>
        <v>#DIV/0!</v>
      </c>
      <c r="C90" s="12" t="e">
        <f>(+M90*0.035)*H87</f>
        <v>#DIV/0!</v>
      </c>
      <c r="D90" s="12" t="e">
        <f>(+N90*0.03)*H87</f>
        <v>#DIV/0!</v>
      </c>
      <c r="E90" s="22" t="e">
        <f>(+O90*0.025)*H87</f>
        <v>#DIV/0!</v>
      </c>
      <c r="F90" s="25" t="e">
        <f>SUM(B90:E90)</f>
        <v>#DIV/0!</v>
      </c>
      <c r="H90" s="4">
        <f>IF(B87&lt;1000,B87,999)</f>
        <v>0</v>
      </c>
      <c r="I90" s="4">
        <f>IF(B87&gt;9999,9000,B87-999)</f>
        <v>-999</v>
      </c>
      <c r="J90" s="4">
        <f>IF(B87&gt;29999,20000,B87-9999)</f>
        <v>-9999</v>
      </c>
      <c r="K90" s="4">
        <f>IF(B87&gt;29999,B87-29999,0)</f>
        <v>0</v>
      </c>
      <c r="L90" s="4">
        <f aca="true" t="shared" si="3" ref="L90:O91">IF(H90&gt;0,H90,0)</f>
        <v>0</v>
      </c>
      <c r="M90" s="4">
        <f t="shared" si="3"/>
        <v>0</v>
      </c>
      <c r="N90" s="4">
        <f t="shared" si="3"/>
        <v>0</v>
      </c>
      <c r="O90" s="4">
        <f t="shared" si="3"/>
        <v>0</v>
      </c>
    </row>
    <row r="91" spans="1:15" ht="12.75">
      <c r="A91" s="17" t="s">
        <v>13</v>
      </c>
      <c r="B91" s="13">
        <f>(+L91*0.04)</f>
        <v>0</v>
      </c>
      <c r="C91" s="13">
        <f>(+M91*0.035)</f>
        <v>0</v>
      </c>
      <c r="D91" s="13">
        <f>(+N91*0.03)</f>
        <v>0</v>
      </c>
      <c r="E91" s="13">
        <f>(+O91*0.025)</f>
        <v>0</v>
      </c>
      <c r="F91" s="24">
        <f>SUM(B91:E91)</f>
        <v>0</v>
      </c>
      <c r="H91" s="4">
        <f>IF(B85&lt;1000,B85,999)</f>
        <v>0</v>
      </c>
      <c r="I91" s="4">
        <f>IF(B85&gt;9999,9000,B85-999)</f>
        <v>-999</v>
      </c>
      <c r="J91" s="4">
        <f>IF(B85&gt;29999,20000,B85-9999)</f>
        <v>-9999</v>
      </c>
      <c r="K91" s="4">
        <f>IF(B85&gt;29999,B85-29999,0)</f>
        <v>0</v>
      </c>
      <c r="L91" s="4">
        <f t="shared" si="3"/>
        <v>0</v>
      </c>
      <c r="M91" s="4">
        <f t="shared" si="3"/>
        <v>0</v>
      </c>
      <c r="N91" s="4">
        <f t="shared" si="3"/>
        <v>0</v>
      </c>
      <c r="O91" s="4">
        <f t="shared" si="3"/>
        <v>0</v>
      </c>
    </row>
    <row r="92" spans="1:6" ht="13.5" thickBot="1">
      <c r="A92" s="26"/>
      <c r="B92" s="27"/>
      <c r="C92" s="27"/>
      <c r="D92" s="27"/>
      <c r="E92" s="27"/>
      <c r="F92" s="28"/>
    </row>
    <row r="93" spans="1:6" ht="13.5" thickBot="1">
      <c r="A93" s="26"/>
      <c r="B93" s="27"/>
      <c r="C93" s="27"/>
      <c r="D93" s="27"/>
      <c r="E93" s="21" t="s">
        <v>9</v>
      </c>
      <c r="F93" s="19" t="e">
        <f>F91-F90</f>
        <v>#DIV/0!</v>
      </c>
    </row>
    <row r="94" spans="1:6" ht="13.5" thickBot="1">
      <c r="A94" s="26"/>
      <c r="B94" s="27"/>
      <c r="C94" s="27"/>
      <c r="D94" s="27"/>
      <c r="E94" s="27"/>
      <c r="F94" s="20" t="e">
        <f>F93/F91</f>
        <v>#DIV/0!</v>
      </c>
    </row>
    <row r="95" spans="1:6" ht="13.5" thickBot="1">
      <c r="A95" s="33"/>
      <c r="B95" s="34"/>
      <c r="C95" s="34"/>
      <c r="D95" s="34"/>
      <c r="E95" s="34"/>
      <c r="F95" s="35"/>
    </row>
    <row r="96" spans="1:6" ht="12.75">
      <c r="A96" s="45"/>
      <c r="B96" s="45"/>
      <c r="C96" s="45"/>
      <c r="D96" s="45"/>
      <c r="E96" s="45"/>
      <c r="F96" s="45"/>
    </row>
    <row r="97" spans="1:6" ht="13.5" thickBot="1">
      <c r="A97" s="45"/>
      <c r="B97" s="45"/>
      <c r="C97" s="45"/>
      <c r="D97" s="45"/>
      <c r="E97" s="45"/>
      <c r="F97" s="45"/>
    </row>
    <row r="98" spans="1:6" ht="18.75" thickBot="1">
      <c r="A98" s="55" t="s">
        <v>22</v>
      </c>
      <c r="B98" s="56"/>
      <c r="C98" s="56"/>
      <c r="D98" s="56"/>
      <c r="E98" s="56"/>
      <c r="F98" s="57"/>
    </row>
    <row r="99" spans="1:6" ht="12.75">
      <c r="A99" s="29" t="s">
        <v>14</v>
      </c>
      <c r="B99" s="30"/>
      <c r="C99" s="30"/>
      <c r="D99" s="30"/>
      <c r="E99" s="30"/>
      <c r="F99" s="31"/>
    </row>
    <row r="100" spans="1:6" ht="12.75">
      <c r="A100" s="26"/>
      <c r="B100" s="27"/>
      <c r="C100" s="27"/>
      <c r="D100" s="27"/>
      <c r="E100" s="27"/>
      <c r="F100" s="28"/>
    </row>
    <row r="101" spans="1:6" ht="12.75">
      <c r="A101" s="58" t="s">
        <v>15</v>
      </c>
      <c r="B101" s="59"/>
      <c r="C101" s="59"/>
      <c r="D101" s="60"/>
      <c r="E101" s="27"/>
      <c r="F101" s="28"/>
    </row>
    <row r="102" spans="1:6" ht="12.75">
      <c r="A102" s="14" t="s">
        <v>0</v>
      </c>
      <c r="B102" s="1" t="s">
        <v>1</v>
      </c>
      <c r="C102" s="1" t="s">
        <v>20</v>
      </c>
      <c r="D102" s="2" t="s">
        <v>3</v>
      </c>
      <c r="E102" s="27"/>
      <c r="F102" s="28"/>
    </row>
    <row r="103" spans="1:6" ht="12.75">
      <c r="A103" s="14" t="s">
        <v>4</v>
      </c>
      <c r="B103" s="50" t="s">
        <v>38</v>
      </c>
      <c r="C103" s="7">
        <v>1.5</v>
      </c>
      <c r="D103" s="9">
        <f>SUM(1999)*C103</f>
        <v>2998.5</v>
      </c>
      <c r="E103" s="27"/>
      <c r="F103" s="28"/>
    </row>
    <row r="104" spans="1:6" ht="12.75">
      <c r="A104" s="14" t="s">
        <v>5</v>
      </c>
      <c r="B104" s="1" t="s">
        <v>39</v>
      </c>
      <c r="C104" s="7">
        <v>1</v>
      </c>
      <c r="D104" s="9">
        <f>SUM(1500)*C104</f>
        <v>1500</v>
      </c>
      <c r="E104" s="27"/>
      <c r="F104" s="28"/>
    </row>
    <row r="105" spans="1:6" ht="12.75">
      <c r="A105" s="14" t="s">
        <v>6</v>
      </c>
      <c r="B105" s="1" t="s">
        <v>40</v>
      </c>
      <c r="C105" s="7">
        <v>0.5</v>
      </c>
      <c r="D105" s="9" t="s">
        <v>58</v>
      </c>
      <c r="E105" s="27"/>
      <c r="F105" s="28"/>
    </row>
    <row r="106" spans="1:6" ht="12.75">
      <c r="A106" s="15"/>
      <c r="B106" s="3"/>
      <c r="C106" s="8"/>
      <c r="D106" s="10"/>
      <c r="E106" s="27"/>
      <c r="F106" s="28"/>
    </row>
    <row r="107" spans="1:6" ht="12.75">
      <c r="A107" s="14" t="s">
        <v>51</v>
      </c>
      <c r="B107" s="1"/>
      <c r="C107" s="7"/>
      <c r="D107" s="53"/>
      <c r="E107" s="27"/>
      <c r="F107" s="28"/>
    </row>
    <row r="108" spans="1:6" ht="12.75">
      <c r="A108" s="26" t="s">
        <v>54</v>
      </c>
      <c r="B108" s="27"/>
      <c r="C108" s="27"/>
      <c r="D108" s="27"/>
      <c r="E108" s="27"/>
      <c r="F108" s="28"/>
    </row>
    <row r="109" spans="1:6" ht="12.75">
      <c r="A109" s="26" t="s">
        <v>53</v>
      </c>
      <c r="B109" s="27"/>
      <c r="C109" s="27"/>
      <c r="D109" s="27"/>
      <c r="E109" s="27"/>
      <c r="F109" s="28"/>
    </row>
    <row r="110" spans="1:6" ht="13.5" thickBot="1">
      <c r="A110" s="26"/>
      <c r="B110" s="27"/>
      <c r="C110" s="27"/>
      <c r="D110" s="27"/>
      <c r="E110" s="27"/>
      <c r="F110" s="28"/>
    </row>
    <row r="111" spans="1:6" ht="13.5" thickBot="1">
      <c r="A111" s="16" t="s">
        <v>55</v>
      </c>
      <c r="B111" s="5"/>
      <c r="C111" s="27"/>
      <c r="D111" s="27"/>
      <c r="E111" s="27"/>
      <c r="F111" s="28"/>
    </row>
    <row r="112" spans="1:6" ht="13.5" thickBot="1">
      <c r="A112" s="16" t="s">
        <v>57</v>
      </c>
      <c r="B112" s="5"/>
      <c r="C112" s="27"/>
      <c r="D112" s="27"/>
      <c r="E112" s="27"/>
      <c r="F112" s="28"/>
    </row>
    <row r="113" spans="1:6" ht="13.5" thickBot="1">
      <c r="A113" s="26"/>
      <c r="B113" s="6"/>
      <c r="C113" s="27"/>
      <c r="D113" s="27"/>
      <c r="E113" s="27"/>
      <c r="F113" s="28"/>
    </row>
    <row r="114" spans="1:9" ht="13.5" thickBot="1">
      <c r="A114" s="16" t="s">
        <v>52</v>
      </c>
      <c r="B114" s="5"/>
      <c r="C114" s="27"/>
      <c r="D114" s="27"/>
      <c r="E114" s="27"/>
      <c r="F114" s="28"/>
      <c r="H114" s="51" t="e">
        <f>ROUND(B111/B114,7)</f>
        <v>#DIV/0!</v>
      </c>
      <c r="I114" s="51"/>
    </row>
    <row r="115" spans="1:9" ht="13.5" thickBot="1">
      <c r="A115" s="16" t="s">
        <v>56</v>
      </c>
      <c r="B115" s="5"/>
      <c r="C115" s="27"/>
      <c r="D115" s="27"/>
      <c r="E115" s="27"/>
      <c r="F115" s="28"/>
      <c r="H115" s="51"/>
      <c r="I115" s="51"/>
    </row>
    <row r="116" spans="1:6" ht="12.75">
      <c r="A116" s="26"/>
      <c r="B116" s="27"/>
      <c r="C116" s="27"/>
      <c r="D116" s="27"/>
      <c r="E116" s="27"/>
      <c r="F116" s="28"/>
    </row>
    <row r="117" spans="1:6" ht="13.5" thickBot="1">
      <c r="A117" s="17"/>
      <c r="B117" s="11" t="s">
        <v>4</v>
      </c>
      <c r="C117" s="11" t="s">
        <v>5</v>
      </c>
      <c r="D117" s="11" t="s">
        <v>6</v>
      </c>
      <c r="E117" s="11"/>
      <c r="F117" s="23" t="s">
        <v>12</v>
      </c>
    </row>
    <row r="118" spans="1:15" ht="13.5" thickBot="1">
      <c r="A118" s="18" t="s">
        <v>8</v>
      </c>
      <c r="B118" s="12" t="e">
        <f>(+L118*1.5)*H114</f>
        <v>#DIV/0!</v>
      </c>
      <c r="C118" s="12" t="e">
        <f>(+M118*1)*H114</f>
        <v>#DIV/0!</v>
      </c>
      <c r="D118" s="12" t="e">
        <f>(+N118*0.5)*H114</f>
        <v>#DIV/0!</v>
      </c>
      <c r="E118" s="22"/>
      <c r="F118" s="25" t="e">
        <f>SUM(B118:E118)-I121</f>
        <v>#DIV/0!</v>
      </c>
      <c r="H118" s="47">
        <f>IF(B114&lt;2000,B114,1999)</f>
        <v>0</v>
      </c>
      <c r="I118" s="47">
        <f>IF(B114&gt;3499,1500,B114-1999)</f>
        <v>-1999</v>
      </c>
      <c r="J118" s="47">
        <f>IF(B114&gt;3499,B114-3499,0)</f>
        <v>0</v>
      </c>
      <c r="K118" s="47"/>
      <c r="L118" s="48">
        <f aca="true" t="shared" si="4" ref="L118:N119">IF(H118&gt;0,H118,0)</f>
        <v>0</v>
      </c>
      <c r="M118" s="48">
        <f t="shared" si="4"/>
        <v>0</v>
      </c>
      <c r="N118" s="48">
        <f t="shared" si="4"/>
        <v>0</v>
      </c>
      <c r="O118" s="48"/>
    </row>
    <row r="119" spans="1:15" ht="12.75">
      <c r="A119" s="17" t="s">
        <v>13</v>
      </c>
      <c r="B119" s="13">
        <f>(+L119*1.5)</f>
        <v>0</v>
      </c>
      <c r="C119" s="13">
        <f>(+M119*1)</f>
        <v>0</v>
      </c>
      <c r="D119" s="13">
        <f>(+N119*0.5)</f>
        <v>0</v>
      </c>
      <c r="E119" s="13"/>
      <c r="F119" s="24">
        <f>SUM(B119:E119)-H121</f>
        <v>0</v>
      </c>
      <c r="H119" s="47">
        <f>IF(B111&lt;2000,B111,1999)</f>
        <v>0</v>
      </c>
      <c r="I119" s="47">
        <f>IF(B111&gt;3499,1500,B111-1999)</f>
        <v>-1999</v>
      </c>
      <c r="J119" s="47">
        <f>IF(B111&gt;3499,B111-3499,0)</f>
        <v>0</v>
      </c>
      <c r="K119" s="47"/>
      <c r="L119" s="48">
        <f>IF(H119&gt;0,H119,0)</f>
        <v>0</v>
      </c>
      <c r="M119" s="48">
        <f t="shared" si="4"/>
        <v>0</v>
      </c>
      <c r="N119" s="48">
        <f t="shared" si="4"/>
        <v>0</v>
      </c>
      <c r="O119" s="48"/>
    </row>
    <row r="120" spans="1:6" ht="13.5" thickBot="1">
      <c r="A120" s="26"/>
      <c r="B120" s="27"/>
      <c r="C120" s="27"/>
      <c r="D120" s="27"/>
      <c r="E120" s="27"/>
      <c r="F120" s="28"/>
    </row>
    <row r="121" spans="1:9" ht="13.5" thickBot="1">
      <c r="A121" s="26"/>
      <c r="B121" s="27"/>
      <c r="C121" s="27"/>
      <c r="D121" s="27"/>
      <c r="E121" s="21" t="s">
        <v>9</v>
      </c>
      <c r="F121" s="19" t="e">
        <f>F119-F118</f>
        <v>#DIV/0!</v>
      </c>
      <c r="H121">
        <f>IF(B111&gt;B112,B112*0.25,B111*0.25)</f>
        <v>0</v>
      </c>
      <c r="I121">
        <f>IF(B114&gt;B115,B115*0.25,B114*0.25)</f>
        <v>0</v>
      </c>
    </row>
    <row r="122" spans="1:6" ht="13.5" thickBot="1">
      <c r="A122" s="26"/>
      <c r="B122" s="27"/>
      <c r="C122" s="27"/>
      <c r="D122" s="27"/>
      <c r="E122" s="27"/>
      <c r="F122" s="20" t="e">
        <f>F121/F119</f>
        <v>#DIV/0!</v>
      </c>
    </row>
    <row r="123" spans="1:9" ht="13.5" thickBot="1">
      <c r="A123" s="33"/>
      <c r="B123" s="34"/>
      <c r="C123" s="34"/>
      <c r="D123" s="34"/>
      <c r="E123" s="34"/>
      <c r="F123" s="35"/>
      <c r="I123" s="54"/>
    </row>
    <row r="125" ht="13.5" thickBot="1"/>
    <row r="126" spans="1:6" ht="18.75" thickBot="1">
      <c r="A126" s="55" t="s">
        <v>21</v>
      </c>
      <c r="B126" s="56"/>
      <c r="C126" s="56"/>
      <c r="D126" s="56"/>
      <c r="E126" s="56"/>
      <c r="F126" s="57"/>
    </row>
    <row r="127" spans="1:6" ht="12.75">
      <c r="A127" s="29" t="s">
        <v>14</v>
      </c>
      <c r="B127" s="30"/>
      <c r="C127" s="30"/>
      <c r="D127" s="30"/>
      <c r="E127" s="30"/>
      <c r="F127" s="31"/>
    </row>
    <row r="128" spans="1:6" ht="12.75">
      <c r="A128" s="26"/>
      <c r="B128" s="27"/>
      <c r="C128" s="27"/>
      <c r="D128" s="27"/>
      <c r="E128" s="27"/>
      <c r="F128" s="28"/>
    </row>
    <row r="129" spans="1:6" ht="12.75">
      <c r="A129" s="58" t="s">
        <v>24</v>
      </c>
      <c r="B129" s="59"/>
      <c r="C129" s="59"/>
      <c r="D129" s="60"/>
      <c r="E129" s="27"/>
      <c r="F129" s="28"/>
    </row>
    <row r="130" spans="1:6" ht="12.75">
      <c r="A130" s="14" t="s">
        <v>0</v>
      </c>
      <c r="B130" s="1" t="s">
        <v>1</v>
      </c>
      <c r="C130" s="37" t="s">
        <v>2</v>
      </c>
      <c r="D130" s="2" t="s">
        <v>3</v>
      </c>
      <c r="E130" s="27"/>
      <c r="F130" s="28"/>
    </row>
    <row r="131" spans="1:8" ht="12.75">
      <c r="A131" s="14" t="s">
        <v>4</v>
      </c>
      <c r="B131" s="49" t="s">
        <v>41</v>
      </c>
      <c r="C131" s="7">
        <v>0.75</v>
      </c>
      <c r="D131" s="9">
        <f>SUM(49999/1000)*C131</f>
        <v>37.49925</v>
      </c>
      <c r="E131" s="27"/>
      <c r="F131" s="28"/>
      <c r="H131" s="52"/>
    </row>
    <row r="132" spans="1:6" ht="12.75">
      <c r="A132" s="14" t="s">
        <v>5</v>
      </c>
      <c r="B132" s="1" t="s">
        <v>42</v>
      </c>
      <c r="C132" s="7">
        <v>0.65</v>
      </c>
      <c r="D132" s="9">
        <f>SUM(200000/1000)*C132</f>
        <v>130</v>
      </c>
      <c r="E132" s="27"/>
      <c r="F132" s="28"/>
    </row>
    <row r="133" spans="1:6" ht="12.75">
      <c r="A133" s="14" t="s">
        <v>6</v>
      </c>
      <c r="B133" s="1" t="s">
        <v>43</v>
      </c>
      <c r="C133" s="7">
        <v>0.55</v>
      </c>
      <c r="D133" s="9">
        <f>SUM(750000/1000)*C133</f>
        <v>412.50000000000006</v>
      </c>
      <c r="E133" s="27"/>
      <c r="F133" s="28"/>
    </row>
    <row r="134" spans="1:6" ht="12.75">
      <c r="A134" s="15" t="s">
        <v>7</v>
      </c>
      <c r="B134" s="3" t="s">
        <v>44</v>
      </c>
      <c r="C134" s="8">
        <v>0.45</v>
      </c>
      <c r="D134" s="44" t="s">
        <v>23</v>
      </c>
      <c r="E134" s="27"/>
      <c r="F134" s="28"/>
    </row>
    <row r="135" spans="1:6" ht="12.75">
      <c r="A135" s="26"/>
      <c r="B135" s="27"/>
      <c r="C135" s="27"/>
      <c r="D135" s="27"/>
      <c r="E135" s="27"/>
      <c r="F135" s="28"/>
    </row>
    <row r="136" spans="1:6" ht="13.5" thickBot="1">
      <c r="A136" s="26"/>
      <c r="B136" s="27"/>
      <c r="C136" s="27"/>
      <c r="D136" s="27"/>
      <c r="E136" s="27"/>
      <c r="F136" s="28"/>
    </row>
    <row r="137" spans="1:6" ht="13.5" thickBot="1">
      <c r="A137" s="16" t="s">
        <v>10</v>
      </c>
      <c r="B137" s="5"/>
      <c r="C137" s="27"/>
      <c r="D137" s="27"/>
      <c r="E137" s="27"/>
      <c r="F137" s="28"/>
    </row>
    <row r="138" spans="1:6" ht="13.5" thickBot="1">
      <c r="A138" s="26"/>
      <c r="B138" s="6"/>
      <c r="C138" s="27"/>
      <c r="D138" s="27"/>
      <c r="E138" s="27"/>
      <c r="F138" s="28"/>
    </row>
    <row r="139" spans="1:8" ht="13.5" thickBot="1">
      <c r="A139" s="16" t="s">
        <v>11</v>
      </c>
      <c r="B139" s="5"/>
      <c r="C139" s="27"/>
      <c r="D139" s="27"/>
      <c r="E139" s="27"/>
      <c r="F139" s="28"/>
      <c r="H139" t="e">
        <f>ROUND(B137/B139,7)</f>
        <v>#DIV/0!</v>
      </c>
    </row>
    <row r="140" spans="1:6" ht="12.75">
      <c r="A140" s="26"/>
      <c r="B140" s="27"/>
      <c r="C140" s="27"/>
      <c r="D140" s="27"/>
      <c r="E140" s="27"/>
      <c r="F140" s="28"/>
    </row>
    <row r="141" spans="1:6" ht="13.5" thickBot="1">
      <c r="A141" s="17"/>
      <c r="B141" s="11" t="s">
        <v>4</v>
      </c>
      <c r="C141" s="11" t="s">
        <v>5</v>
      </c>
      <c r="D141" s="11" t="s">
        <v>6</v>
      </c>
      <c r="E141" s="11" t="s">
        <v>7</v>
      </c>
      <c r="F141" s="23" t="s">
        <v>12</v>
      </c>
    </row>
    <row r="142" spans="1:15" ht="13.5" thickBot="1">
      <c r="A142" s="18" t="s">
        <v>8</v>
      </c>
      <c r="B142" s="12" t="e">
        <f>(+L142*0.00075)*H139</f>
        <v>#DIV/0!</v>
      </c>
      <c r="C142" s="12" t="e">
        <f>(+M142*0.00065)*H139</f>
        <v>#DIV/0!</v>
      </c>
      <c r="D142" s="12" t="e">
        <f>(+N142*0.00055)*H139</f>
        <v>#DIV/0!</v>
      </c>
      <c r="E142" s="22" t="e">
        <f>(+O142*0.00045)*H139</f>
        <v>#DIV/0!</v>
      </c>
      <c r="F142" s="25" t="e">
        <f>SUM(B142:E142)</f>
        <v>#DIV/0!</v>
      </c>
      <c r="H142" s="47">
        <f>IF(B139&lt;50000,B139,49999)</f>
        <v>0</v>
      </c>
      <c r="I142" s="47">
        <f>IF(B139&gt;249999,200000,B139-49999)</f>
        <v>-49999</v>
      </c>
      <c r="J142" s="47">
        <f>IF(B139&gt;999999,750000,B139-249999)</f>
        <v>-249999</v>
      </c>
      <c r="K142" s="47">
        <f>IF(B139&gt;999999,B139-999999,0)</f>
        <v>0</v>
      </c>
      <c r="L142" s="48">
        <f aca="true" t="shared" si="5" ref="L142:O143">IF(H142&gt;0,H142,0)</f>
        <v>0</v>
      </c>
      <c r="M142" s="48">
        <f t="shared" si="5"/>
        <v>0</v>
      </c>
      <c r="N142" s="48">
        <f t="shared" si="5"/>
        <v>0</v>
      </c>
      <c r="O142" s="48">
        <f t="shared" si="5"/>
        <v>0</v>
      </c>
    </row>
    <row r="143" spans="1:15" ht="12.75">
      <c r="A143" s="17" t="s">
        <v>13</v>
      </c>
      <c r="B143" s="13">
        <f>(+L143*0.00075)</f>
        <v>0</v>
      </c>
      <c r="C143" s="13">
        <f>(+M143*0.00065)</f>
        <v>0</v>
      </c>
      <c r="D143" s="13">
        <f>(+N143*0.00055)</f>
        <v>0</v>
      </c>
      <c r="E143" s="13">
        <f>(+O143*0.00045)</f>
        <v>0</v>
      </c>
      <c r="F143" s="24">
        <f>SUM(B143:E143)</f>
        <v>0</v>
      </c>
      <c r="H143" s="47">
        <f>IF(B137&lt;50000,B137,49999)</f>
        <v>0</v>
      </c>
      <c r="I143" s="47">
        <f>IF(B137&gt;249999,200000,B137-49999)</f>
        <v>-49999</v>
      </c>
      <c r="J143" s="47">
        <f>IF(B137&gt;999999,750000,B137-249999)</f>
        <v>-249999</v>
      </c>
      <c r="K143" s="47">
        <f>IF(B137&gt;999999,B137-999999,0)</f>
        <v>0</v>
      </c>
      <c r="L143" s="48">
        <f t="shared" si="5"/>
        <v>0</v>
      </c>
      <c r="M143" s="48">
        <f t="shared" si="5"/>
        <v>0</v>
      </c>
      <c r="N143" s="48">
        <f t="shared" si="5"/>
        <v>0</v>
      </c>
      <c r="O143" s="48">
        <f t="shared" si="5"/>
        <v>0</v>
      </c>
    </row>
    <row r="144" spans="1:6" ht="13.5" thickBot="1">
      <c r="A144" s="26"/>
      <c r="B144" s="27"/>
      <c r="C144" s="27"/>
      <c r="D144" s="27"/>
      <c r="E144" s="27"/>
      <c r="F144" s="28"/>
    </row>
    <row r="145" spans="1:6" ht="13.5" thickBot="1">
      <c r="A145" s="26"/>
      <c r="B145" s="27"/>
      <c r="C145" s="27"/>
      <c r="D145" s="27"/>
      <c r="E145" s="21" t="s">
        <v>9</v>
      </c>
      <c r="F145" s="19" t="e">
        <f>F143-F142</f>
        <v>#DIV/0!</v>
      </c>
    </row>
    <row r="146" spans="1:6" ht="13.5" thickBot="1">
      <c r="A146" s="26"/>
      <c r="B146" s="27"/>
      <c r="C146" s="27"/>
      <c r="D146" s="27"/>
      <c r="E146" s="27"/>
      <c r="F146" s="20" t="e">
        <f>F145/F143</f>
        <v>#DIV/0!</v>
      </c>
    </row>
    <row r="147" spans="1:6" ht="13.5" thickBot="1">
      <c r="A147" s="33"/>
      <c r="B147" s="34"/>
      <c r="C147" s="34"/>
      <c r="D147" s="34"/>
      <c r="E147" s="34"/>
      <c r="F147" s="35"/>
    </row>
  </sheetData>
  <mergeCells count="12">
    <mergeCell ref="A2:F2"/>
    <mergeCell ref="A5:D5"/>
    <mergeCell ref="A74:F74"/>
    <mergeCell ref="A77:D77"/>
    <mergeCell ref="A26:F26"/>
    <mergeCell ref="A29:D29"/>
    <mergeCell ref="A50:F50"/>
    <mergeCell ref="A53:D53"/>
    <mergeCell ref="A98:F98"/>
    <mergeCell ref="A101:D101"/>
    <mergeCell ref="A126:F126"/>
    <mergeCell ref="A129:D1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Blue2man</dc:creator>
  <cp:keywords/>
  <dc:description/>
  <cp:lastModifiedBy>Blue2man</cp:lastModifiedBy>
  <cp:lastPrinted>2007-02-05T21:21:03Z</cp:lastPrinted>
  <dcterms:created xsi:type="dcterms:W3CDTF">2006-10-19T19:57:57Z</dcterms:created>
  <dcterms:modified xsi:type="dcterms:W3CDTF">2009-02-05T14:29:04Z</dcterms:modified>
  <cp:category/>
  <cp:version/>
  <cp:contentType/>
  <cp:contentStatus/>
</cp:coreProperties>
</file>